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esenvolvimento\sites-tw-novo\assets\downloads\"/>
    </mc:Choice>
  </mc:AlternateContent>
  <xr:revisionPtr revIDLastSave="0" documentId="11_905D0BB28E85679322054BB95E9D31B1B883D0D4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Instruções" sheetId="1" r:id="rId1"/>
    <sheet name="Premissas" sheetId="2" r:id="rId2"/>
    <sheet name="Simulação" sheetId="3" r:id="rId3"/>
  </sheets>
  <calcPr calcId="181029"/>
</workbook>
</file>

<file path=xl/calcChain.xml><?xml version="1.0" encoding="utf-8"?>
<calcChain xmlns="http://schemas.openxmlformats.org/spreadsheetml/2006/main">
  <c r="E18" i="3" l="1"/>
  <c r="D18" i="3"/>
  <c r="C18" i="3"/>
  <c r="B18" i="3"/>
  <c r="O17" i="3"/>
  <c r="N17" i="3"/>
  <c r="M17" i="3"/>
  <c r="L17" i="3"/>
  <c r="K17" i="3"/>
  <c r="J17" i="3"/>
  <c r="I17" i="3"/>
  <c r="H17" i="3"/>
  <c r="G17" i="3"/>
  <c r="F17" i="3"/>
  <c r="E17" i="3"/>
  <c r="O16" i="3"/>
  <c r="N16" i="3"/>
  <c r="M16" i="3"/>
  <c r="L16" i="3"/>
  <c r="K16" i="3"/>
  <c r="J16" i="3"/>
  <c r="I16" i="3"/>
  <c r="H16" i="3"/>
  <c r="G16" i="3"/>
  <c r="F16" i="3"/>
  <c r="E16" i="3"/>
  <c r="O15" i="3"/>
  <c r="N15" i="3"/>
  <c r="M15" i="3"/>
  <c r="L15" i="3"/>
  <c r="K15" i="3"/>
  <c r="J15" i="3"/>
  <c r="I15" i="3"/>
  <c r="H15" i="3"/>
  <c r="G15" i="3"/>
  <c r="F15" i="3"/>
  <c r="E15" i="3"/>
  <c r="O14" i="3"/>
  <c r="N14" i="3"/>
  <c r="M14" i="3"/>
  <c r="L14" i="3"/>
  <c r="K14" i="3"/>
  <c r="J14" i="3"/>
  <c r="I14" i="3"/>
  <c r="H14" i="3"/>
  <c r="G14" i="3"/>
  <c r="F14" i="3"/>
  <c r="E14" i="3"/>
  <c r="O13" i="3"/>
  <c r="N13" i="3"/>
  <c r="M13" i="3"/>
  <c r="L13" i="3"/>
  <c r="K13" i="3"/>
  <c r="J13" i="3"/>
  <c r="I13" i="3"/>
  <c r="H13" i="3"/>
  <c r="G13" i="3"/>
  <c r="F13" i="3"/>
  <c r="E13" i="3"/>
  <c r="O12" i="3"/>
  <c r="N12" i="3"/>
  <c r="M12" i="3"/>
  <c r="L12" i="3"/>
  <c r="K12" i="3"/>
  <c r="J12" i="3"/>
  <c r="I12" i="3"/>
  <c r="H12" i="3"/>
  <c r="G12" i="3"/>
  <c r="F12" i="3"/>
  <c r="E12" i="3"/>
  <c r="O11" i="3"/>
  <c r="N11" i="3"/>
  <c r="M11" i="3"/>
  <c r="L11" i="3"/>
  <c r="K11" i="3"/>
  <c r="J11" i="3"/>
  <c r="I11" i="3"/>
  <c r="H11" i="3"/>
  <c r="G11" i="3"/>
  <c r="F11" i="3"/>
  <c r="E11" i="3"/>
  <c r="I10" i="3"/>
  <c r="F10" i="3"/>
  <c r="E10" i="3"/>
  <c r="I9" i="3"/>
  <c r="F9" i="3"/>
  <c r="E9" i="3"/>
  <c r="I8" i="3"/>
  <c r="I18" i="3" s="1"/>
  <c r="F8" i="3"/>
  <c r="F18" i="3" s="1"/>
  <c r="E8" i="3"/>
  <c r="C7" i="2"/>
  <c r="J10" i="3" l="1"/>
  <c r="G10" i="3"/>
  <c r="J9" i="3"/>
  <c r="G9" i="3"/>
  <c r="J8" i="3"/>
  <c r="G8" i="3"/>
  <c r="L10" i="3" l="1"/>
  <c r="K10" i="3"/>
  <c r="M10" i="3" s="1"/>
  <c r="H10" i="3"/>
  <c r="N10" i="3"/>
  <c r="O10" i="3" s="1"/>
  <c r="K9" i="3"/>
  <c r="L9" i="3"/>
  <c r="H9" i="3"/>
  <c r="N9" i="3"/>
  <c r="O9" i="3" s="1"/>
  <c r="K8" i="3"/>
  <c r="L8" i="3"/>
  <c r="J18" i="3"/>
  <c r="K18" i="3" s="1"/>
  <c r="H8" i="3"/>
  <c r="N8" i="3"/>
  <c r="G18" i="3"/>
  <c r="H18" i="3" s="1"/>
  <c r="O8" i="3" l="1"/>
  <c r="N18" i="3"/>
  <c r="M9" i="3"/>
  <c r="M18" i="3"/>
  <c r="M8" i="3"/>
  <c r="L18" i="3"/>
</calcChain>
</file>

<file path=xl/sharedStrings.xml><?xml version="1.0" encoding="utf-8"?>
<sst xmlns="http://schemas.openxmlformats.org/spreadsheetml/2006/main" count="48" uniqueCount="48">
  <si>
    <t>Simulador: Impacto da Reforma Tributária na margem de empresas de serviços</t>
  </si>
  <si>
    <t>Material gratuito da Teraware — baseado no artigo “O impacto da Reforma Tributária na margem das empresas de serviços”</t>
  </si>
  <si>
    <t>COMO USAR (5 passos do artigo)</t>
  </si>
  <si>
    <t>1. Na aba “Premissas”, confira as alíquotas — os valores em fundo amarelo são editáveis.</t>
  </si>
  <si>
    <t>2. Na aba “Simulação”, liste seus principais serviços e preços atuais (células em azul).</t>
  </si>
  <si>
    <t>3. Separe os custos de cada serviço: os que GERAM crédito de CBS/IBS (insumos, softwares, aluguel, energia de fornecedores tributados) e os que NÃO geram (mão de obra própria).</t>
  </si>
  <si>
    <t>4. A planilha aplica a alíquota de referência sobre o valor agregado e compara com o imposto atual (ISS + PIS/Cofins).</t>
  </si>
  <si>
    <t>5. Use as colunas de impacto e o “preço sugerido” para decidir o reajuste, considerando a sua concorrência.</t>
  </si>
  <si>
    <t>LEGENDA DE CORES</t>
  </si>
  <si>
    <t>Azul = célula para você preencher   |   Preto = calculado automaticamente (não editar)   |   Fundo amarelo = premissa-chave editável</t>
  </si>
  <si>
    <t>AVISO IMPORTANTE</t>
  </si>
  <si>
    <t>Esta é uma simulação simplificada para fins educativos. Alíquotas de CBS/IBS ainda dependem de regulamentação (estimativas entre 26% e 28%). O cálculo assume regime não cumulativo, não cobre Simples Nacional e ignora regras de transição (2026 é fase de teste; mudanças maiores a partir de 2027). Valide as decisões com o seu contador.</t>
  </si>
  <si>
    <t>Dúvidas sobre como preparar a gestão da sua empresa para a Reforma? Conheça o ERP TWFlex: https://teraware.com.br/sistema-erp-twflex</t>
  </si>
  <si>
    <t>Premissas da simulação</t>
  </si>
  <si>
    <t>Alíquota de referência CBS + IBS</t>
  </si>
  <si>
    <t>Estimativas do artigo: entre 26% e 28%. Valor final depende de regulamentação — ajuste aqui.</t>
  </si>
  <si>
    <t>ISS atual do seu município</t>
  </si>
  <si>
    <t>Na maioria dos municípios fica entre 2% e 5% para serviços. Informe a sua alíquota.</t>
  </si>
  <si>
    <t>PIS/Cofins atual</t>
  </si>
  <si>
    <t>Padrão do regime cumulativo (Lucro Presumido): 0,65% + 3%. Se estiver no não cumulativo, use 9,25% e informe créditos ao contador.</t>
  </si>
  <si>
    <t>Carga atual total sobre o faturamento</t>
  </si>
  <si>
    <t>Calculado: ISS + PIS/Cofins. Simplificação — não inclui IRPJ/CSLL, que não mudam com a Reforma.</t>
  </si>
  <si>
    <t>Fonte: artigo “O impacto da Reforma Tributária na margem das empresas de serviços” — teraware.com.br</t>
  </si>
  <si>
    <t>Simulação por serviço — regime atual vs. novo IVA (CBS/IBS)</t>
  </si>
  <si>
    <t>Preencha apenas as colunas em azul (A a D). As demais calculam automaticamente com as alíquotas da aba Premissas.</t>
  </si>
  <si>
    <t>Serviço</t>
  </si>
  <si>
    <t>Preço atual
(R$)</t>
  </si>
  <si>
    <t>Custos COM crédito
(insumos, software,
aluguel, energia) R$</t>
  </si>
  <si>
    <t>Custos SEM crédito
(mão de obra própria)
R$</t>
  </si>
  <si>
    <t>Custo total
(R$)</t>
  </si>
  <si>
    <t>Imposto atual
ISS+PIS/Cofins (R$)</t>
  </si>
  <si>
    <t>Lucro atual
(R$)</t>
  </si>
  <si>
    <t>Margem
atual</t>
  </si>
  <si>
    <t>CBS/IBS líquido
novo regime (R$)</t>
  </si>
  <si>
    <t>Lucro novo
(R$)</t>
  </si>
  <si>
    <t>Margem
nova</t>
  </si>
  <si>
    <t>Impacto no
lucro (R$)</t>
  </si>
  <si>
    <t>Impacto na
margem (p.p.)</t>
  </si>
  <si>
    <t>Preço sugerido p/
manter o lucro (R$)</t>
  </si>
  <si>
    <t>Reajuste
necessário</t>
  </si>
  <si>
    <t>Consultoria mensal (exemplo)</t>
  </si>
  <si>
    <t>Projeto de implantação (exemplo)</t>
  </si>
  <si>
    <t>Contrato de suporte (exemplo)</t>
  </si>
  <si>
    <t>TOTAL</t>
  </si>
  <si>
    <t>Como o cálculo funciona: CBS/IBS líquido = (preço − custos com crédito) × alíquota de referência. Imposto atual = preço × (ISS + PIS/Cofins).</t>
  </si>
  <si>
    <t>“Preço sugerido” = preço que preserva o seu lucro em R$ no novo regime, já considerando os créditos: (Lucro atual + Custo total − Créditos×alíquota) ÷ (1 − alíquota).</t>
  </si>
  <si>
    <t>As 3 primeiras linhas são exemplos ilustrativos — substitua pelos seus serviços reais. Linhas em branco ficam vazias até você preencher o preço.</t>
  </si>
  <si>
    <t>Simulação simplificada e educativa. Não substitui a análise do seu contador.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</si>
</sst>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R\$\ #,##0.00"/>
  </numFmts>
  <fonts count="10" x14ac:knownFonts="1">
    <font>
      <sz val="11"/>
      <color theme="1"/>
      <name val="Calibri"/>
      <family val="2"/>
      <scheme val="minor"/>
    </font>
    <font>
      <b/>
      <sz val="16"/>
      <color rgb="FF091B29"/>
      <name val="Arial"/>
    </font>
    <font>
      <i/>
      <sz val="10"/>
      <color rgb="FF595959"/>
      <name val="Arial"/>
    </font>
    <font>
      <b/>
      <sz val="10"/>
      <color rgb="FF091B29"/>
      <name val="Arial"/>
    </font>
    <font>
      <sz val="10"/>
      <name val="Arial"/>
    </font>
    <font>
      <sz val="10"/>
      <color rgb="FF0000FF"/>
      <name val="Arial"/>
    </font>
    <font>
      <i/>
      <sz val="9"/>
      <color rgb="FF595959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91B29"/>
      </patternFill>
    </fill>
    <fill>
      <patternFill patternType="solid">
        <fgColor rgb="FFF2F2F2"/>
      </patternFill>
    </fill>
    <fill>
      <patternFill patternType="solid">
        <fgColor rgb="FFF2A02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164" fontId="5" fillId="2" borderId="1" xfId="0" applyNumberFormat="1" applyFont="1" applyFill="1" applyBorder="1"/>
    <xf numFmtId="0" fontId="6" fillId="0" borderId="0" xfId="0" applyFont="1" applyAlignment="1">
      <alignment vertical="center" wrapText="1"/>
    </xf>
    <xf numFmtId="164" fontId="7" fillId="0" borderId="1" xfId="0" applyNumberFormat="1" applyFont="1" applyBorder="1"/>
    <xf numFmtId="0" fontId="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5" fontId="5" fillId="0" borderId="1" xfId="0" applyNumberFormat="1" applyFont="1" applyBorder="1"/>
    <xf numFmtId="165" fontId="7" fillId="4" borderId="1" xfId="0" applyNumberFormat="1" applyFont="1" applyFill="1" applyBorder="1"/>
    <xf numFmtId="164" fontId="7" fillId="4" borderId="1" xfId="0" applyNumberFormat="1" applyFont="1" applyFill="1" applyBorder="1"/>
    <xf numFmtId="165" fontId="7" fillId="0" borderId="1" xfId="0" applyNumberFormat="1" applyFont="1" applyBorder="1"/>
    <xf numFmtId="0" fontId="8" fillId="3" borderId="0" xfId="0" applyFont="1" applyFill="1"/>
    <xf numFmtId="165" fontId="9" fillId="5" borderId="1" xfId="0" applyNumberFormat="1" applyFont="1" applyFill="1" applyBorder="1"/>
    <xf numFmtId="164" fontId="9" fillId="5" borderId="1" xfId="0" applyNumberFormat="1" applyFont="1" applyFill="1" applyBorder="1"/>
    <xf numFmtId="0" fontId="6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8"/>
  <sheetViews>
    <sheetView showGridLines="0" tabSelected="1" workbookViewId="0"/>
  </sheetViews>
  <sheetFormatPr defaultRowHeight="14.4" x14ac:dyDescent="0.3"/>
  <cols>
    <col min="1" max="1" width="3" customWidth="1"/>
    <col min="2" max="2" width="100" customWidth="1"/>
  </cols>
  <sheetData>
    <row r="2" spans="2:2" ht="21" x14ac:dyDescent="0.4">
      <c r="B2" s="1" t="s">
        <v>0</v>
      </c>
    </row>
    <row r="3" spans="2:2" x14ac:dyDescent="0.3">
      <c r="B3" s="2" t="s">
        <v>1</v>
      </c>
    </row>
    <row r="5" spans="2:2" x14ac:dyDescent="0.3">
      <c r="B5" s="3" t="s">
        <v>2</v>
      </c>
    </row>
    <row r="6" spans="2:2" x14ac:dyDescent="0.3">
      <c r="B6" s="4" t="s">
        <v>3</v>
      </c>
    </row>
    <row r="7" spans="2:2" x14ac:dyDescent="0.3">
      <c r="B7" s="4" t="s">
        <v>4</v>
      </c>
    </row>
    <row r="8" spans="2:2" ht="30" customHeight="1" x14ac:dyDescent="0.3">
      <c r="B8" s="4" t="s">
        <v>5</v>
      </c>
    </row>
    <row r="9" spans="2:2" ht="30" customHeight="1" x14ac:dyDescent="0.3">
      <c r="B9" s="4" t="s">
        <v>6</v>
      </c>
    </row>
    <row r="10" spans="2:2" ht="30" customHeight="1" x14ac:dyDescent="0.3">
      <c r="B10" s="4" t="s">
        <v>7</v>
      </c>
    </row>
    <row r="11" spans="2:2" x14ac:dyDescent="0.3">
      <c r="B11" s="4"/>
    </row>
    <row r="12" spans="2:2" x14ac:dyDescent="0.3">
      <c r="B12" s="3" t="s">
        <v>8</v>
      </c>
    </row>
    <row r="13" spans="2:2" ht="30" customHeight="1" x14ac:dyDescent="0.3">
      <c r="B13" s="4" t="s">
        <v>9</v>
      </c>
    </row>
    <row r="14" spans="2:2" x14ac:dyDescent="0.3">
      <c r="B14" s="4"/>
    </row>
    <row r="15" spans="2:2" x14ac:dyDescent="0.3">
      <c r="B15" s="3" t="s">
        <v>10</v>
      </c>
    </row>
    <row r="16" spans="2:2" ht="30" customHeight="1" x14ac:dyDescent="0.3">
      <c r="B16" s="4" t="s">
        <v>11</v>
      </c>
    </row>
    <row r="17" spans="2:2" x14ac:dyDescent="0.3">
      <c r="B17" s="4"/>
    </row>
    <row r="18" spans="2:2" ht="30" customHeight="1" x14ac:dyDescent="0.3">
      <c r="B18" s="4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9"/>
  <sheetViews>
    <sheetView showGridLines="0" workbookViewId="0"/>
  </sheetViews>
  <sheetFormatPr defaultRowHeight="14.4" x14ac:dyDescent="0.3"/>
  <cols>
    <col min="1" max="1" width="3" customWidth="1"/>
    <col min="2" max="2" width="52" customWidth="1"/>
    <col min="3" max="3" width="12" customWidth="1"/>
    <col min="4" max="4" width="68" customWidth="1"/>
  </cols>
  <sheetData>
    <row r="2" spans="2:4" ht="21" x14ac:dyDescent="0.4">
      <c r="B2" s="1" t="s">
        <v>13</v>
      </c>
    </row>
    <row r="4" spans="2:4" ht="22.8" x14ac:dyDescent="0.3">
      <c r="B4" s="5" t="s">
        <v>14</v>
      </c>
      <c r="C4" s="6">
        <v>0.26500000000000001</v>
      </c>
      <c r="D4" s="7" t="s">
        <v>15</v>
      </c>
    </row>
    <row r="5" spans="2:4" x14ac:dyDescent="0.3">
      <c r="B5" s="5" t="s">
        <v>16</v>
      </c>
      <c r="C5" s="6">
        <v>0.05</v>
      </c>
      <c r="D5" s="7" t="s">
        <v>17</v>
      </c>
    </row>
    <row r="6" spans="2:4" ht="22.8" x14ac:dyDescent="0.3">
      <c r="B6" s="5" t="s">
        <v>18</v>
      </c>
      <c r="C6" s="6">
        <v>3.6499999999999998E-2</v>
      </c>
      <c r="D6" s="7" t="s">
        <v>19</v>
      </c>
    </row>
    <row r="7" spans="2:4" ht="22.8" x14ac:dyDescent="0.3">
      <c r="B7" s="5" t="s">
        <v>20</v>
      </c>
      <c r="C7" s="8">
        <f>C5+C6</f>
        <v>8.6499999999999994E-2</v>
      </c>
      <c r="D7" s="7" t="s">
        <v>21</v>
      </c>
    </row>
    <row r="9" spans="2:4" x14ac:dyDescent="0.3">
      <c r="B9" s="9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23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customWidth="1"/>
    <col min="2" max="2" width="13" customWidth="1"/>
    <col min="3" max="4" width="17" customWidth="1"/>
    <col min="5" max="5" width="13" customWidth="1"/>
    <col min="6" max="6" width="15" customWidth="1"/>
    <col min="7" max="7" width="13" customWidth="1"/>
    <col min="8" max="8" width="10" customWidth="1"/>
    <col min="9" max="9" width="15" customWidth="1"/>
    <col min="10" max="10" width="13" customWidth="1"/>
    <col min="11" max="11" width="10" customWidth="1"/>
    <col min="12" max="12" width="13" customWidth="1"/>
    <col min="13" max="13" width="11" customWidth="1"/>
    <col min="14" max="14" width="16" customWidth="1"/>
    <col min="15" max="15" width="11" customWidth="1"/>
  </cols>
  <sheetData>
    <row r="2" spans="1:15" ht="21" x14ac:dyDescent="0.4">
      <c r="A2" s="1" t="s">
        <v>23</v>
      </c>
    </row>
    <row r="3" spans="1:15" x14ac:dyDescent="0.3">
      <c r="A3" s="2" t="s">
        <v>24</v>
      </c>
    </row>
    <row r="7" spans="1:15" ht="46.05" customHeight="1" x14ac:dyDescent="0.3">
      <c r="A7" s="10" t="s">
        <v>25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0" t="s">
        <v>31</v>
      </c>
      <c r="H7" s="10" t="s">
        <v>32</v>
      </c>
      <c r="I7" s="10" t="s">
        <v>33</v>
      </c>
      <c r="J7" s="10" t="s">
        <v>34</v>
      </c>
      <c r="K7" s="10" t="s">
        <v>35</v>
      </c>
      <c r="L7" s="10" t="s">
        <v>36</v>
      </c>
      <c r="M7" s="10" t="s">
        <v>37</v>
      </c>
      <c r="N7" s="10" t="s">
        <v>38</v>
      </c>
      <c r="O7" s="10" t="s">
        <v>39</v>
      </c>
    </row>
    <row r="8" spans="1:15" x14ac:dyDescent="0.3">
      <c r="A8" s="11" t="s">
        <v>40</v>
      </c>
      <c r="B8" s="12">
        <v>10000</v>
      </c>
      <c r="C8" s="12">
        <v>1500</v>
      </c>
      <c r="D8" s="12">
        <v>5500</v>
      </c>
      <c r="E8" s="13">
        <f t="shared" ref="E8:E17" si="0">IF($B8="","",$C8+$D8)</f>
        <v>7000</v>
      </c>
      <c r="F8" s="13">
        <f>IF($B8="","",$B8*Premissas!$C$7)</f>
        <v>864.99999999999989</v>
      </c>
      <c r="G8" s="13">
        <f t="shared" ref="G8:G17" si="1">IF($B8="","",$B8-$E8-$F8)</f>
        <v>2135</v>
      </c>
      <c r="H8" s="14">
        <f t="shared" ref="H8:H17" si="2">IF($B8="","",IF($B8=0,"",$G8/$B8))</f>
        <v>0.2135</v>
      </c>
      <c r="I8" s="13">
        <f>IF($B8="","",($B8-$C8)*Premissas!$C$4)</f>
        <v>2252.5</v>
      </c>
      <c r="J8" s="13">
        <f t="shared" ref="J8:J17" si="3">IF($B8="","",$B8-$E8-$I8)</f>
        <v>747.5</v>
      </c>
      <c r="K8" s="14">
        <f t="shared" ref="K8:K17" si="4">IF($B8="","",IF($B8=0,"",$J8/$B8))</f>
        <v>7.4749999999999997E-2</v>
      </c>
      <c r="L8" s="13">
        <f t="shared" ref="L8:L17" si="5">IF($B8="","",$J8-$G8)</f>
        <v>-1387.5</v>
      </c>
      <c r="M8" s="14">
        <f t="shared" ref="M8:M17" si="6">IF($B8="","",IF($B8=0,"",$K8-$H8))</f>
        <v>-0.13874999999999998</v>
      </c>
      <c r="N8" s="13">
        <f>IF($B8="","",($G8+$E8-$C8*Premissas!$C$4)/(1-Premissas!$C$4))</f>
        <v>11887.755102040817</v>
      </c>
      <c r="O8" s="14">
        <f t="shared" ref="O8:O17" si="7">IF($B8="","",IF($B8=0,"",$N8/$B8-1))</f>
        <v>0.18877551020408179</v>
      </c>
    </row>
    <row r="9" spans="1:15" x14ac:dyDescent="0.3">
      <c r="A9" s="11" t="s">
        <v>41</v>
      </c>
      <c r="B9" s="12">
        <v>25000</v>
      </c>
      <c r="C9" s="12">
        <v>4000</v>
      </c>
      <c r="D9" s="12">
        <v>12000</v>
      </c>
      <c r="E9" s="15">
        <f t="shared" si="0"/>
        <v>16000</v>
      </c>
      <c r="F9" s="15">
        <f>IF($B9="","",$B9*Premissas!$C$7)</f>
        <v>2162.5</v>
      </c>
      <c r="G9" s="15">
        <f t="shared" si="1"/>
        <v>6837.5</v>
      </c>
      <c r="H9" s="8">
        <f t="shared" si="2"/>
        <v>0.27350000000000002</v>
      </c>
      <c r="I9" s="15">
        <f>IF($B9="","",($B9-$C9)*Premissas!$C$4)</f>
        <v>5565</v>
      </c>
      <c r="J9" s="15">
        <f t="shared" si="3"/>
        <v>3435</v>
      </c>
      <c r="K9" s="8">
        <f t="shared" si="4"/>
        <v>0.13739999999999999</v>
      </c>
      <c r="L9" s="15">
        <f t="shared" si="5"/>
        <v>-3402.5</v>
      </c>
      <c r="M9" s="8">
        <f t="shared" si="6"/>
        <v>-0.13610000000000003</v>
      </c>
      <c r="N9" s="15">
        <f>IF($B9="","",($G9+$E9-$C9*Premissas!$C$4)/(1-Premissas!$C$4))</f>
        <v>29629.251700680274</v>
      </c>
      <c r="O9" s="8">
        <f t="shared" si="7"/>
        <v>0.18517006802721103</v>
      </c>
    </row>
    <row r="10" spans="1:15" x14ac:dyDescent="0.3">
      <c r="A10" s="11" t="s">
        <v>42</v>
      </c>
      <c r="B10" s="12">
        <v>6000</v>
      </c>
      <c r="C10" s="12">
        <v>900</v>
      </c>
      <c r="D10" s="12">
        <v>3200</v>
      </c>
      <c r="E10" s="13">
        <f t="shared" si="0"/>
        <v>4100</v>
      </c>
      <c r="F10" s="13">
        <f>IF($B10="","",$B10*Premissas!$C$7)</f>
        <v>519</v>
      </c>
      <c r="G10" s="13">
        <f t="shared" si="1"/>
        <v>1381</v>
      </c>
      <c r="H10" s="14">
        <f t="shared" si="2"/>
        <v>0.23016666666666666</v>
      </c>
      <c r="I10" s="13">
        <f>IF($B10="","",($B10-$C10)*Premissas!$C$4)</f>
        <v>1351.5</v>
      </c>
      <c r="J10" s="13">
        <f t="shared" si="3"/>
        <v>548.5</v>
      </c>
      <c r="K10" s="14">
        <f t="shared" si="4"/>
        <v>9.141666666666666E-2</v>
      </c>
      <c r="L10" s="13">
        <f t="shared" si="5"/>
        <v>-832.5</v>
      </c>
      <c r="M10" s="14">
        <f t="shared" si="6"/>
        <v>-0.13874999999999998</v>
      </c>
      <c r="N10" s="13">
        <f>IF($B10="","",($G10+$E10-$C10*Premissas!$C$4)/(1-Premissas!$C$4))</f>
        <v>7132.6530612244896</v>
      </c>
      <c r="O10" s="14">
        <f t="shared" si="7"/>
        <v>0.18877551020408156</v>
      </c>
    </row>
    <row r="11" spans="1:15" x14ac:dyDescent="0.3">
      <c r="A11" s="11"/>
      <c r="B11" s="12"/>
      <c r="C11" s="12"/>
      <c r="D11" s="12"/>
      <c r="E11" s="15" t="str">
        <f t="shared" si="0"/>
        <v/>
      </c>
      <c r="F11" s="15" t="str">
        <f>IF($B11="","",$B11*Premissas!$C$7)</f>
        <v/>
      </c>
      <c r="G11" s="15" t="str">
        <f t="shared" si="1"/>
        <v/>
      </c>
      <c r="H11" s="8" t="str">
        <f t="shared" si="2"/>
        <v/>
      </c>
      <c r="I11" s="15" t="str">
        <f>IF($B11="","",($B11-$C11)*Premissas!$C$4)</f>
        <v/>
      </c>
      <c r="J11" s="15" t="str">
        <f t="shared" si="3"/>
        <v/>
      </c>
      <c r="K11" s="8" t="str">
        <f t="shared" si="4"/>
        <v/>
      </c>
      <c r="L11" s="15" t="str">
        <f t="shared" si="5"/>
        <v/>
      </c>
      <c r="M11" s="8" t="str">
        <f t="shared" si="6"/>
        <v/>
      </c>
      <c r="N11" s="15" t="str">
        <f>IF($B11="","",($G11+$E11-$C11*Premissas!$C$4)/(1-Premissas!$C$4))</f>
        <v/>
      </c>
      <c r="O11" s="8" t="str">
        <f t="shared" si="7"/>
        <v/>
      </c>
    </row>
    <row r="12" spans="1:15" x14ac:dyDescent="0.3">
      <c r="A12" s="11"/>
      <c r="B12" s="12"/>
      <c r="C12" s="12"/>
      <c r="D12" s="12"/>
      <c r="E12" s="13" t="str">
        <f t="shared" si="0"/>
        <v/>
      </c>
      <c r="F12" s="13" t="str">
        <f>IF($B12="","",$B12*Premissas!$C$7)</f>
        <v/>
      </c>
      <c r="G12" s="13" t="str">
        <f t="shared" si="1"/>
        <v/>
      </c>
      <c r="H12" s="14" t="str">
        <f t="shared" si="2"/>
        <v/>
      </c>
      <c r="I12" s="13" t="str">
        <f>IF($B12="","",($B12-$C12)*Premissas!$C$4)</f>
        <v/>
      </c>
      <c r="J12" s="13" t="str">
        <f t="shared" si="3"/>
        <v/>
      </c>
      <c r="K12" s="14" t="str">
        <f t="shared" si="4"/>
        <v/>
      </c>
      <c r="L12" s="13" t="str">
        <f t="shared" si="5"/>
        <v/>
      </c>
      <c r="M12" s="14" t="str">
        <f t="shared" si="6"/>
        <v/>
      </c>
      <c r="N12" s="13" t="str">
        <f>IF($B12="","",($G12+$E12-$C12*Premissas!$C$4)/(1-Premissas!$C$4))</f>
        <v/>
      </c>
      <c r="O12" s="14" t="str">
        <f t="shared" si="7"/>
        <v/>
      </c>
    </row>
    <row r="13" spans="1:15" x14ac:dyDescent="0.3">
      <c r="A13" s="11"/>
      <c r="B13" s="12"/>
      <c r="C13" s="12"/>
      <c r="D13" s="12"/>
      <c r="E13" s="15" t="str">
        <f t="shared" si="0"/>
        <v/>
      </c>
      <c r="F13" s="15" t="str">
        <f>IF($B13="","",$B13*Premissas!$C$7)</f>
        <v/>
      </c>
      <c r="G13" s="15" t="str">
        <f t="shared" si="1"/>
        <v/>
      </c>
      <c r="H13" s="8" t="str">
        <f t="shared" si="2"/>
        <v/>
      </c>
      <c r="I13" s="15" t="str">
        <f>IF($B13="","",($B13-$C13)*Premissas!$C$4)</f>
        <v/>
      </c>
      <c r="J13" s="15" t="str">
        <f t="shared" si="3"/>
        <v/>
      </c>
      <c r="K13" s="8" t="str">
        <f t="shared" si="4"/>
        <v/>
      </c>
      <c r="L13" s="15" t="str">
        <f t="shared" si="5"/>
        <v/>
      </c>
      <c r="M13" s="8" t="str">
        <f t="shared" si="6"/>
        <v/>
      </c>
      <c r="N13" s="15" t="str">
        <f>IF($B13="","",($G13+$E13-$C13*Premissas!$C$4)/(1-Premissas!$C$4))</f>
        <v/>
      </c>
      <c r="O13" s="8" t="str">
        <f t="shared" si="7"/>
        <v/>
      </c>
    </row>
    <row r="14" spans="1:15" x14ac:dyDescent="0.3">
      <c r="A14" s="11"/>
      <c r="B14" s="12"/>
      <c r="C14" s="12"/>
      <c r="D14" s="12"/>
      <c r="E14" s="13" t="str">
        <f t="shared" si="0"/>
        <v/>
      </c>
      <c r="F14" s="13" t="str">
        <f>IF($B14="","",$B14*Premissas!$C$7)</f>
        <v/>
      </c>
      <c r="G14" s="13" t="str">
        <f t="shared" si="1"/>
        <v/>
      </c>
      <c r="H14" s="14" t="str">
        <f t="shared" si="2"/>
        <v/>
      </c>
      <c r="I14" s="13" t="str">
        <f>IF($B14="","",($B14-$C14)*Premissas!$C$4)</f>
        <v/>
      </c>
      <c r="J14" s="13" t="str">
        <f t="shared" si="3"/>
        <v/>
      </c>
      <c r="K14" s="14" t="str">
        <f t="shared" si="4"/>
        <v/>
      </c>
      <c r="L14" s="13" t="str">
        <f t="shared" si="5"/>
        <v/>
      </c>
      <c r="M14" s="14" t="str">
        <f t="shared" si="6"/>
        <v/>
      </c>
      <c r="N14" s="13" t="str">
        <f>IF($B14="","",($G14+$E14-$C14*Premissas!$C$4)/(1-Premissas!$C$4))</f>
        <v/>
      </c>
      <c r="O14" s="14" t="str">
        <f t="shared" si="7"/>
        <v/>
      </c>
    </row>
    <row r="15" spans="1:15" x14ac:dyDescent="0.3">
      <c r="A15" s="11"/>
      <c r="B15" s="12"/>
      <c r="C15" s="12"/>
      <c r="D15" s="12"/>
      <c r="E15" s="15" t="str">
        <f t="shared" si="0"/>
        <v/>
      </c>
      <c r="F15" s="15" t="str">
        <f>IF($B15="","",$B15*Premissas!$C$7)</f>
        <v/>
      </c>
      <c r="G15" s="15" t="str">
        <f t="shared" si="1"/>
        <v/>
      </c>
      <c r="H15" s="8" t="str">
        <f t="shared" si="2"/>
        <v/>
      </c>
      <c r="I15" s="15" t="str">
        <f>IF($B15="","",($B15-$C15)*Premissas!$C$4)</f>
        <v/>
      </c>
      <c r="J15" s="15" t="str">
        <f t="shared" si="3"/>
        <v/>
      </c>
      <c r="K15" s="8" t="str">
        <f t="shared" si="4"/>
        <v/>
      </c>
      <c r="L15" s="15" t="str">
        <f t="shared" si="5"/>
        <v/>
      </c>
      <c r="M15" s="8" t="str">
        <f t="shared" si="6"/>
        <v/>
      </c>
      <c r="N15" s="15" t="str">
        <f>IF($B15="","",($G15+$E15-$C15*Premissas!$C$4)/(1-Premissas!$C$4))</f>
        <v/>
      </c>
      <c r="O15" s="8" t="str">
        <f t="shared" si="7"/>
        <v/>
      </c>
    </row>
    <row r="16" spans="1:15" x14ac:dyDescent="0.3">
      <c r="A16" s="11"/>
      <c r="B16" s="12"/>
      <c r="C16" s="12"/>
      <c r="D16" s="12"/>
      <c r="E16" s="13" t="str">
        <f t="shared" si="0"/>
        <v/>
      </c>
      <c r="F16" s="13" t="str">
        <f>IF($B16="","",$B16*Premissas!$C$7)</f>
        <v/>
      </c>
      <c r="G16" s="13" t="str">
        <f t="shared" si="1"/>
        <v/>
      </c>
      <c r="H16" s="14" t="str">
        <f t="shared" si="2"/>
        <v/>
      </c>
      <c r="I16" s="13" t="str">
        <f>IF($B16="","",($B16-$C16)*Premissas!$C$4)</f>
        <v/>
      </c>
      <c r="J16" s="13" t="str">
        <f t="shared" si="3"/>
        <v/>
      </c>
      <c r="K16" s="14" t="str">
        <f t="shared" si="4"/>
        <v/>
      </c>
      <c r="L16" s="13" t="str">
        <f t="shared" si="5"/>
        <v/>
      </c>
      <c r="M16" s="14" t="str">
        <f t="shared" si="6"/>
        <v/>
      </c>
      <c r="N16" s="13" t="str">
        <f>IF($B16="","",($G16+$E16-$C16*Premissas!$C$4)/(1-Premissas!$C$4))</f>
        <v/>
      </c>
      <c r="O16" s="14" t="str">
        <f t="shared" si="7"/>
        <v/>
      </c>
    </row>
    <row r="17" spans="1:15" x14ac:dyDescent="0.3">
      <c r="A17" s="11"/>
      <c r="B17" s="12"/>
      <c r="C17" s="12"/>
      <c r="D17" s="12"/>
      <c r="E17" s="15" t="str">
        <f t="shared" si="0"/>
        <v/>
      </c>
      <c r="F17" s="15" t="str">
        <f>IF($B17="","",$B17*Premissas!$C$7)</f>
        <v/>
      </c>
      <c r="G17" s="15" t="str">
        <f t="shared" si="1"/>
        <v/>
      </c>
      <c r="H17" s="8" t="str">
        <f t="shared" si="2"/>
        <v/>
      </c>
      <c r="I17" s="15" t="str">
        <f>IF($B17="","",($B17-$C17)*Premissas!$C$4)</f>
        <v/>
      </c>
      <c r="J17" s="15" t="str">
        <f t="shared" si="3"/>
        <v/>
      </c>
      <c r="K17" s="8" t="str">
        <f t="shared" si="4"/>
        <v/>
      </c>
      <c r="L17" s="15" t="str">
        <f t="shared" si="5"/>
        <v/>
      </c>
      <c r="M17" s="8" t="str">
        <f t="shared" si="6"/>
        <v/>
      </c>
      <c r="N17" s="15" t="str">
        <f>IF($B17="","",($G17+$E17-$C17*Premissas!$C$4)/(1-Premissas!$C$4))</f>
        <v/>
      </c>
      <c r="O17" s="8" t="str">
        <f t="shared" si="7"/>
        <v/>
      </c>
    </row>
    <row r="18" spans="1:15" x14ac:dyDescent="0.3">
      <c r="A18" s="16" t="s">
        <v>43</v>
      </c>
      <c r="B18" s="17">
        <f t="shared" ref="B18:G18" si="8">SUM(B8:B17)</f>
        <v>41000</v>
      </c>
      <c r="C18" s="17">
        <f t="shared" si="8"/>
        <v>6400</v>
      </c>
      <c r="D18" s="17">
        <f t="shared" si="8"/>
        <v>20700</v>
      </c>
      <c r="E18" s="17">
        <f t="shared" si="8"/>
        <v>27100</v>
      </c>
      <c r="F18" s="17">
        <f t="shared" si="8"/>
        <v>3546.5</v>
      </c>
      <c r="G18" s="17">
        <f t="shared" si="8"/>
        <v>10353.5</v>
      </c>
      <c r="H18" s="18">
        <f>IF($B18=0,"",$G18/$B18)</f>
        <v>0.25252439024390244</v>
      </c>
      <c r="I18" s="17">
        <f>SUM(I8:I17)</f>
        <v>9169</v>
      </c>
      <c r="J18" s="17">
        <f>SUM(J8:J17)</f>
        <v>4731</v>
      </c>
      <c r="K18" s="18">
        <f>IF($B18=0,"",$J18/$B18)</f>
        <v>0.11539024390243903</v>
      </c>
      <c r="L18" s="17">
        <f>SUM(L8:L17)</f>
        <v>-5622.5</v>
      </c>
      <c r="M18" s="18">
        <f>IF($B18=0,"",$K18-$H18)</f>
        <v>-0.13713414634146343</v>
      </c>
      <c r="N18" s="17">
        <f>SUM(N8:N17)</f>
        <v>48649.659863945584</v>
      </c>
    </row>
    <row r="20" spans="1:15" x14ac:dyDescent="0.3">
      <c r="A20" s="19" t="s">
        <v>44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19" t="s">
        <v>45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3">
      <c r="A22" s="19" t="s">
        <v>46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19" t="s">
        <v>47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</sheetData>
  <mergeCells count="4">
    <mergeCell ref="A22:O22"/>
    <mergeCell ref="A23:O23"/>
    <mergeCell ref="A20:O20"/>
    <mergeCell ref="A21:O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Premissas</vt:lpstr>
      <vt:lpstr>Simulação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Pedro Godinho</cp:lastModifiedBy>
  <dcterms:created xsi:type="dcterms:W3CDTF">2026-08-10T15:14:15Z</dcterms:created>
  <dcterms:modified xsi:type="dcterms:W3CDTF">2026-08-10T15:15:28Z</dcterms:modified>
</cp:coreProperties>
</file>